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<sst xmlns="http://schemas.openxmlformats.org/spreadsheetml/2006/main" count="1024" uniqueCount="187">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</sst>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78"/>
      <c r="C2" s="278"/>
      <c r="D2" s="278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183</v>
      </c>
      <c r="N3" s="288" t="s">
        <v>184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179</v>
      </c>
      <c r="F4" s="271" t="s">
        <v>34</v>
      </c>
      <c r="G4" s="265" t="s">
        <v>180</v>
      </c>
      <c r="H4" s="273" t="s">
        <v>181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186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72"/>
      <c r="G5" s="266"/>
      <c r="H5" s="274"/>
      <c r="I5" s="266"/>
      <c r="J5" s="274"/>
      <c r="K5" s="268" t="s">
        <v>182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493218.2199999999</v>
      </c>
      <c r="G8" s="191">
        <f aca="true" t="shared" si="0" ref="G8:G36">F8-E8</f>
        <v>-6318.060000000114</v>
      </c>
      <c r="H8" s="192">
        <f>F8/E8*100</f>
        <v>98.73521498778825</v>
      </c>
      <c r="I8" s="193">
        <f>F8-D8</f>
        <v>-347831.7800000001</v>
      </c>
      <c r="J8" s="193">
        <f>F8/D8*100</f>
        <v>58.643150823375535</v>
      </c>
      <c r="K8" s="191">
        <f>F8-366772.22</f>
        <v>126445.99999999994</v>
      </c>
      <c r="L8" s="191">
        <f>F8/366722.22*100</f>
        <v>134.49368298435803</v>
      </c>
      <c r="M8" s="191">
        <f>M9+M15+M18+M19+M20+M17</f>
        <v>79300.50000000003</v>
      </c>
      <c r="N8" s="191">
        <f>N9+N15+N18+N19+N20+N17</f>
        <v>27706.789999999957</v>
      </c>
      <c r="O8" s="191">
        <f>N8-M8</f>
        <v>-51593.71000000007</v>
      </c>
      <c r="P8" s="191">
        <f>N8/M8*100</f>
        <v>34.93898525229973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273058.29</v>
      </c>
      <c r="G9" s="190">
        <f t="shared" si="0"/>
        <v>9334.01999999996</v>
      </c>
      <c r="H9" s="197">
        <f>F9/E9*100</f>
        <v>103.53931020455566</v>
      </c>
      <c r="I9" s="198">
        <f>F9-D9</f>
        <v>-186641.71000000002</v>
      </c>
      <c r="J9" s="198">
        <f>F9/D9*100</f>
        <v>59.399236458559926</v>
      </c>
      <c r="K9" s="199">
        <f>F9-203434.44</f>
        <v>69623.84999999998</v>
      </c>
      <c r="L9" s="199">
        <f>F9/203434.44*100</f>
        <v>134.22421985185989</v>
      </c>
      <c r="M9" s="197">
        <f>E9-червень!E9</f>
        <v>39820.00000000003</v>
      </c>
      <c r="N9" s="200">
        <f>F9-червень!F9</f>
        <v>11615.74999999997</v>
      </c>
      <c r="O9" s="201">
        <f>N9-M9</f>
        <v>-28204.25000000006</v>
      </c>
      <c r="P9" s="198">
        <f>N9/M9*100</f>
        <v>29.17064289301849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240991.09</v>
      </c>
      <c r="G10" s="109">
        <f t="shared" si="0"/>
        <v>6975.25</v>
      </c>
      <c r="H10" s="32">
        <f aca="true" t="shared" si="1" ref="H10:H35">F10/E10*100</f>
        <v>102.98067429965425</v>
      </c>
      <c r="I10" s="110">
        <f aca="true" t="shared" si="2" ref="I10:I36">F10-D10</f>
        <v>-170448.91</v>
      </c>
      <c r="J10" s="110">
        <f aca="true" t="shared" si="3" ref="J10:J35">F10/D10*100</f>
        <v>58.57259624732646</v>
      </c>
      <c r="K10" s="112">
        <f>F10-180069.97</f>
        <v>60921.119999999995</v>
      </c>
      <c r="L10" s="112">
        <f>F10/180069.97*100</f>
        <v>133.83191544931117</v>
      </c>
      <c r="M10" s="111">
        <f>E10-червень!E10</f>
        <v>34720</v>
      </c>
      <c r="N10" s="179">
        <f>F10-червень!F10</f>
        <v>9722.679999999993</v>
      </c>
      <c r="O10" s="112">
        <f aca="true" t="shared" si="4" ref="O10:O36">N10-M10</f>
        <v>-24997.320000000007</v>
      </c>
      <c r="P10" s="198">
        <f aca="true" t="shared" si="5" ref="P10:P16">N10/M10*100</f>
        <v>28.003110599078322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18778.31</v>
      </c>
      <c r="G11" s="109">
        <f t="shared" si="0"/>
        <v>2863.370000000001</v>
      </c>
      <c r="H11" s="32">
        <f t="shared" si="1"/>
        <v>117.9917109332489</v>
      </c>
      <c r="I11" s="110">
        <f t="shared" si="2"/>
        <v>-4221.689999999999</v>
      </c>
      <c r="J11" s="110">
        <f t="shared" si="3"/>
        <v>81.64482608695653</v>
      </c>
      <c r="K11" s="112">
        <f>F11-10791.39</f>
        <v>7986.920000000002</v>
      </c>
      <c r="L11" s="112">
        <f>F11/10791.39*100</f>
        <v>174.0119669477241</v>
      </c>
      <c r="M11" s="111">
        <f>E11-червень!E11</f>
        <v>1750</v>
      </c>
      <c r="N11" s="179">
        <f>F11-червень!F11</f>
        <v>746.0600000000013</v>
      </c>
      <c r="O11" s="112">
        <f t="shared" si="4"/>
        <v>-1003.9399999999987</v>
      </c>
      <c r="P11" s="198">
        <f t="shared" si="5"/>
        <v>42.632000000000076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5612.41</v>
      </c>
      <c r="G12" s="109">
        <f t="shared" si="0"/>
        <v>2341.7999999999997</v>
      </c>
      <c r="H12" s="32">
        <f t="shared" si="1"/>
        <v>171.60132207753293</v>
      </c>
      <c r="I12" s="110">
        <f t="shared" si="2"/>
        <v>-887.5900000000001</v>
      </c>
      <c r="J12" s="110">
        <f t="shared" si="3"/>
        <v>86.34476923076923</v>
      </c>
      <c r="K12" s="112">
        <f>F12-3052.92</f>
        <v>2559.49</v>
      </c>
      <c r="L12" s="112">
        <f>F12/3052.92*100</f>
        <v>183.83744087627582</v>
      </c>
      <c r="M12" s="111">
        <f>E12-червень!E12</f>
        <v>550</v>
      </c>
      <c r="N12" s="179">
        <f>F12-червень!F12</f>
        <v>323.75</v>
      </c>
      <c r="O12" s="112">
        <f t="shared" si="4"/>
        <v>-226.25</v>
      </c>
      <c r="P12" s="198">
        <f t="shared" si="5"/>
        <v>58.86363636363636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5225.82</v>
      </c>
      <c r="G13" s="109">
        <f t="shared" si="0"/>
        <v>-1539.0200000000004</v>
      </c>
      <c r="H13" s="32">
        <f t="shared" si="1"/>
        <v>77.24972061423477</v>
      </c>
      <c r="I13" s="110">
        <f t="shared" si="2"/>
        <v>-7174.18</v>
      </c>
      <c r="J13" s="110">
        <f t="shared" si="3"/>
        <v>42.14370967741935</v>
      </c>
      <c r="K13" s="112">
        <f>F13-4060.02</f>
        <v>1165.7999999999997</v>
      </c>
      <c r="L13" s="112">
        <f>F13/4060.02*100</f>
        <v>128.71414426529918</v>
      </c>
      <c r="M13" s="111">
        <f>E13-червень!E13</f>
        <v>2180</v>
      </c>
      <c r="N13" s="179">
        <f>F13-червень!F13</f>
        <v>773.21</v>
      </c>
      <c r="O13" s="112">
        <f t="shared" si="4"/>
        <v>-1406.79</v>
      </c>
      <c r="P13" s="198">
        <f t="shared" si="5"/>
        <v>35.46834862385321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2450.66</v>
      </c>
      <c r="G14" s="109">
        <f t="shared" si="0"/>
        <v>-1307.38</v>
      </c>
      <c r="H14" s="32">
        <f t="shared" si="1"/>
        <v>65.21112069057274</v>
      </c>
      <c r="I14" s="110">
        <f t="shared" si="2"/>
        <v>-3909.34</v>
      </c>
      <c r="J14" s="110">
        <f t="shared" si="3"/>
        <v>38.53238993710691</v>
      </c>
      <c r="K14" s="112">
        <f>F14-5460.12</f>
        <v>-3009.46</v>
      </c>
      <c r="L14" s="112">
        <f>F14/5460.12*100</f>
        <v>44.88289634660044</v>
      </c>
      <c r="M14" s="111">
        <f>E14-червень!E14</f>
        <v>620</v>
      </c>
      <c r="N14" s="179">
        <f>F14-червень!F14</f>
        <v>50.04999999999973</v>
      </c>
      <c r="O14" s="112">
        <f t="shared" si="4"/>
        <v>-569.9500000000003</v>
      </c>
      <c r="P14" s="198">
        <f t="shared" si="5"/>
        <v>8.072580645161247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45029.08</v>
      </c>
      <c r="G19" s="190">
        <f t="shared" si="0"/>
        <v>-13731.32</v>
      </c>
      <c r="H19" s="197">
        <f t="shared" si="1"/>
        <v>76.63167711588076</v>
      </c>
      <c r="I19" s="198">
        <f t="shared" si="2"/>
        <v>-64870.92</v>
      </c>
      <c r="J19" s="198">
        <f t="shared" si="3"/>
        <v>40.972775250227485</v>
      </c>
      <c r="K19" s="209">
        <f>F19-30116.49</f>
        <v>14912.59</v>
      </c>
      <c r="L19" s="209">
        <f>F19/30116.49*100</f>
        <v>149.51636130239612</v>
      </c>
      <c r="M19" s="197">
        <f>E19-червень!E19</f>
        <v>10900</v>
      </c>
      <c r="N19" s="200">
        <f>F19-червень!F19</f>
        <v>517.060000000005</v>
      </c>
      <c r="O19" s="201">
        <f t="shared" si="4"/>
        <v>-10382.939999999995</v>
      </c>
      <c r="P19" s="198">
        <f aca="true" t="shared" si="6" ref="P19:P24">N19/M19*100</f>
        <v>4.743669724770688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174715.63999999998</v>
      </c>
      <c r="G20" s="190">
        <f t="shared" si="0"/>
        <v>-2075.970000000001</v>
      </c>
      <c r="H20" s="197">
        <f t="shared" si="1"/>
        <v>98.825753099935</v>
      </c>
      <c r="I20" s="198">
        <f t="shared" si="2"/>
        <v>-96224.36000000002</v>
      </c>
      <c r="J20" s="198">
        <f t="shared" si="3"/>
        <v>64.48499298737728</v>
      </c>
      <c r="K20" s="198">
        <f>F20-100444.36</f>
        <v>74271.27999999998</v>
      </c>
      <c r="L20" s="198">
        <f>F20/100444.36*100</f>
        <v>173.9427081819228</v>
      </c>
      <c r="M20" s="197">
        <f>M21+M29+M30+M31</f>
        <v>28570.5</v>
      </c>
      <c r="N20" s="200">
        <f>F20-червень!F20</f>
        <v>15573.979999999981</v>
      </c>
      <c r="O20" s="201">
        <f t="shared" si="4"/>
        <v>-12996.520000000019</v>
      </c>
      <c r="P20" s="198">
        <f t="shared" si="6"/>
        <v>54.510701597801855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91468.59</v>
      </c>
      <c r="G21" s="190">
        <f t="shared" si="0"/>
        <v>-5140.070000000007</v>
      </c>
      <c r="H21" s="197">
        <f t="shared" si="1"/>
        <v>94.67949353608671</v>
      </c>
      <c r="I21" s="198">
        <f t="shared" si="2"/>
        <v>-69931.41</v>
      </c>
      <c r="J21" s="198">
        <f t="shared" si="3"/>
        <v>56.67198884758364</v>
      </c>
      <c r="K21" s="198">
        <f>F21-54757.32</f>
        <v>36711.27</v>
      </c>
      <c r="L21" s="198">
        <f>F21/54757.32*100</f>
        <v>167.04358430982379</v>
      </c>
      <c r="M21" s="197">
        <f>M22+M25+M26</f>
        <v>18465.3</v>
      </c>
      <c r="N21" s="200">
        <f>F21-червень!F21</f>
        <v>5474.199999999997</v>
      </c>
      <c r="O21" s="201">
        <f t="shared" si="4"/>
        <v>-12991.100000000002</v>
      </c>
      <c r="P21" s="198">
        <f t="shared" si="6"/>
        <v>29.645876319366582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10765.06</v>
      </c>
      <c r="G22" s="212">
        <f t="shared" si="0"/>
        <v>-1826.5400000000009</v>
      </c>
      <c r="H22" s="214">
        <f t="shared" si="1"/>
        <v>85.49398011372661</v>
      </c>
      <c r="I22" s="215">
        <f t="shared" si="2"/>
        <v>-7734.9400000000005</v>
      </c>
      <c r="J22" s="215">
        <f t="shared" si="3"/>
        <v>58.18951351351351</v>
      </c>
      <c r="K22" s="216">
        <f>F22-4957.1</f>
        <v>5807.959999999999</v>
      </c>
      <c r="L22" s="216">
        <f>F22/4957.1*100</f>
        <v>217.16447116257487</v>
      </c>
      <c r="M22" s="214">
        <f>E22-червень!E22</f>
        <v>3980</v>
      </c>
      <c r="N22" s="217">
        <f>F22-червень!F22</f>
        <v>1531.4699999999993</v>
      </c>
      <c r="O22" s="218">
        <f t="shared" si="4"/>
        <v>-2448.5300000000007</v>
      </c>
      <c r="P22" s="215">
        <f t="shared" si="6"/>
        <v>38.479145728643196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441.47</v>
      </c>
      <c r="G23" s="241">
        <f t="shared" si="0"/>
        <v>-247.63</v>
      </c>
      <c r="H23" s="242">
        <f t="shared" si="1"/>
        <v>64.06472210129154</v>
      </c>
      <c r="I23" s="243">
        <f t="shared" si="2"/>
        <v>-1558.53</v>
      </c>
      <c r="J23" s="243">
        <f t="shared" si="3"/>
        <v>22.073500000000003</v>
      </c>
      <c r="K23" s="244">
        <f>F23-284.18</f>
        <v>157.29000000000002</v>
      </c>
      <c r="L23" s="244">
        <f>F23/284.18*100</f>
        <v>155.34872264057992</v>
      </c>
      <c r="M23" s="239">
        <f>E23-червень!E23</f>
        <v>300</v>
      </c>
      <c r="N23" s="239">
        <f>F23-червень!F23</f>
        <v>99.37</v>
      </c>
      <c r="O23" s="240">
        <f t="shared" si="4"/>
        <v>-200.63</v>
      </c>
      <c r="P23" s="240">
        <f t="shared" si="6"/>
        <v>33.123333333333335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10323.59</v>
      </c>
      <c r="G24" s="241">
        <f t="shared" si="0"/>
        <v>-1578.9099999999999</v>
      </c>
      <c r="H24" s="242">
        <f t="shared" si="1"/>
        <v>86.73463558076034</v>
      </c>
      <c r="I24" s="243">
        <f t="shared" si="2"/>
        <v>-6176.41</v>
      </c>
      <c r="J24" s="243">
        <f t="shared" si="3"/>
        <v>62.56721212121212</v>
      </c>
      <c r="K24" s="244">
        <f>F24-4672.92</f>
        <v>5650.67</v>
      </c>
      <c r="L24" s="244">
        <f>F24/4672.92*100</f>
        <v>220.92374789211027</v>
      </c>
      <c r="M24" s="239">
        <f>E24-червень!E24</f>
        <v>3680</v>
      </c>
      <c r="N24" s="239">
        <f>F24-червень!F24</f>
        <v>1432.1000000000004</v>
      </c>
      <c r="O24" s="240">
        <f t="shared" si="4"/>
        <v>-2247.8999999999996</v>
      </c>
      <c r="P24" s="240">
        <f t="shared" si="6"/>
        <v>38.915760869565226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441.3</v>
      </c>
      <c r="G25" s="212">
        <f t="shared" si="0"/>
        <v>-251.83999999999997</v>
      </c>
      <c r="H25" s="214">
        <f t="shared" si="1"/>
        <v>63.66679170153217</v>
      </c>
      <c r="I25" s="215">
        <f t="shared" si="2"/>
        <v>-2358.7</v>
      </c>
      <c r="J25" s="215">
        <f t="shared" si="3"/>
        <v>15.760714285714286</v>
      </c>
      <c r="K25" s="215">
        <f>F25-210.68</f>
        <v>230.62</v>
      </c>
      <c r="L25" s="215">
        <f>F25/210.68*100</f>
        <v>209.46459084868047</v>
      </c>
      <c r="M25" s="214">
        <f>E25-червень!E25</f>
        <v>416.3</v>
      </c>
      <c r="N25" s="217">
        <f>F25-червень!F25</f>
        <v>6.25</v>
      </c>
      <c r="O25" s="218">
        <f t="shared" si="4"/>
        <v>-410.05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80262.23</v>
      </c>
      <c r="G26" s="212">
        <f t="shared" si="0"/>
        <v>-3061.6900000000023</v>
      </c>
      <c r="H26" s="214">
        <f t="shared" si="1"/>
        <v>96.32555693491136</v>
      </c>
      <c r="I26" s="215">
        <f t="shared" si="2"/>
        <v>-59837.770000000004</v>
      </c>
      <c r="J26" s="215">
        <f t="shared" si="3"/>
        <v>57.289243397573166</v>
      </c>
      <c r="K26" s="216">
        <f>F26-49589.53</f>
        <v>30672.699999999997</v>
      </c>
      <c r="L26" s="216">
        <f>F26/49589.53*100</f>
        <v>161.8531774751646</v>
      </c>
      <c r="M26" s="214">
        <f>E26-червень!E26</f>
        <v>14069</v>
      </c>
      <c r="N26" s="217">
        <f>F26-червень!F26</f>
        <v>3936.479999999996</v>
      </c>
      <c r="O26" s="218">
        <f t="shared" si="4"/>
        <v>-10132.520000000004</v>
      </c>
      <c r="P26" s="215">
        <f>N26/M26*100</f>
        <v>27.97981377496621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25123.09</v>
      </c>
      <c r="G27" s="241">
        <f t="shared" si="0"/>
        <v>1158.3400000000001</v>
      </c>
      <c r="H27" s="242">
        <f t="shared" si="1"/>
        <v>104.8335158931347</v>
      </c>
      <c r="I27" s="243">
        <f t="shared" si="2"/>
        <v>-12933.91</v>
      </c>
      <c r="J27" s="243">
        <f t="shared" si="3"/>
        <v>66.0143731770765</v>
      </c>
      <c r="K27" s="244">
        <f>F27-12926</f>
        <v>12197.09</v>
      </c>
      <c r="L27" s="244">
        <f>F27/12926*100</f>
        <v>194.3609005105988</v>
      </c>
      <c r="M27" s="239">
        <f>E27-червень!E27</f>
        <v>4535</v>
      </c>
      <c r="N27" s="239">
        <f>F27-червень!F27</f>
        <v>1386.2400000000016</v>
      </c>
      <c r="O27" s="240">
        <f t="shared" si="4"/>
        <v>-3148.7599999999984</v>
      </c>
      <c r="P27" s="240">
        <f>N27/M27*100</f>
        <v>30.567585446527048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55139.14</v>
      </c>
      <c r="G28" s="241">
        <f t="shared" si="0"/>
        <v>-4220.029999999999</v>
      </c>
      <c r="H28" s="242">
        <f t="shared" si="1"/>
        <v>92.89068563458687</v>
      </c>
      <c r="I28" s="243">
        <f t="shared" si="2"/>
        <v>45096.14</v>
      </c>
      <c r="J28" s="243">
        <f t="shared" si="3"/>
        <v>549.0305685552125</v>
      </c>
      <c r="K28" s="244">
        <f>F28-36663.53</f>
        <v>18475.61</v>
      </c>
      <c r="L28" s="244">
        <f>F28/36663.53*100</f>
        <v>150.39233810819636</v>
      </c>
      <c r="M28" s="239">
        <f>E28-червень!E28</f>
        <v>9534</v>
      </c>
      <c r="N28" s="239">
        <f>F28-червень!F28</f>
        <v>2550.25</v>
      </c>
      <c r="O28" s="240">
        <f t="shared" si="4"/>
        <v>-6983.75</v>
      </c>
      <c r="P28" s="240">
        <f>N28/M28*100</f>
        <v>26.749003566184182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55.63</v>
      </c>
      <c r="G29" s="190">
        <f t="shared" si="0"/>
        <v>14.720000000000006</v>
      </c>
      <c r="H29" s="197">
        <f t="shared" si="1"/>
        <v>135.98142263505258</v>
      </c>
      <c r="I29" s="198">
        <f t="shared" si="2"/>
        <v>-21.369999999999997</v>
      </c>
      <c r="J29" s="198">
        <f t="shared" si="3"/>
        <v>72.24675324675324</v>
      </c>
      <c r="K29" s="198">
        <f>F29-37.42</f>
        <v>18.21</v>
      </c>
      <c r="L29" s="198">
        <f>F29/37.42*100</f>
        <v>148.66381614110102</v>
      </c>
      <c r="M29" s="197">
        <f>E29-червень!E29</f>
        <v>5.199999999999996</v>
      </c>
      <c r="N29" s="200">
        <f>F29-червень!F29</f>
        <v>0.010000000000005116</v>
      </c>
      <c r="O29" s="201">
        <f t="shared" si="4"/>
        <v>-5.189999999999991</v>
      </c>
      <c r="P29" s="198">
        <f>N29/M29*100</f>
        <v>0.19230769230779085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-136.78</v>
      </c>
      <c r="G30" s="190">
        <f t="shared" si="0"/>
        <v>-136.78</v>
      </c>
      <c r="H30" s="197"/>
      <c r="I30" s="198">
        <f t="shared" si="2"/>
        <v>-136.78</v>
      </c>
      <c r="J30" s="198"/>
      <c r="K30" s="198">
        <f>F30-(-403.36)</f>
        <v>266.58000000000004</v>
      </c>
      <c r="L30" s="198">
        <f>F30/(-403.36)*100</f>
        <v>33.91015470051567</v>
      </c>
      <c r="M30" s="197">
        <f>E30-червень!E30</f>
        <v>0</v>
      </c>
      <c r="N30" s="200">
        <f>F30-червень!F30</f>
        <v>-11.739999999999995</v>
      </c>
      <c r="O30" s="201">
        <f t="shared" si="4"/>
        <v>-11.739999999999995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83328.2</v>
      </c>
      <c r="G31" s="202">
        <f t="shared" si="0"/>
        <v>3186.1600000000035</v>
      </c>
      <c r="H31" s="204">
        <f t="shared" si="1"/>
        <v>103.97564124896248</v>
      </c>
      <c r="I31" s="205">
        <f t="shared" si="2"/>
        <v>-26134.800000000003</v>
      </c>
      <c r="J31" s="205">
        <f t="shared" si="3"/>
        <v>76.12453523108265</v>
      </c>
      <c r="K31" s="219">
        <f>F31-46052.97</f>
        <v>37275.229999999996</v>
      </c>
      <c r="L31" s="219">
        <f>F31/46052.97*100</f>
        <v>180.93990463590077</v>
      </c>
      <c r="M31" s="197">
        <f>E31-червень!E31</f>
        <v>10100</v>
      </c>
      <c r="N31" s="200">
        <f>F31-червень!F31</f>
        <v>10111.509999999995</v>
      </c>
      <c r="O31" s="207">
        <f t="shared" si="4"/>
        <v>11.509999999994761</v>
      </c>
      <c r="P31" s="205">
        <f>N31/M31*100</f>
        <v>100.11396039603954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20585.75</v>
      </c>
      <c r="G33" s="109">
        <f t="shared" si="0"/>
        <v>889.7799999999988</v>
      </c>
      <c r="H33" s="111">
        <f t="shared" si="1"/>
        <v>104.5175738996353</v>
      </c>
      <c r="I33" s="110">
        <f t="shared" si="2"/>
        <v>-7014.25</v>
      </c>
      <c r="J33" s="110">
        <f t="shared" si="3"/>
        <v>74.58605072463767</v>
      </c>
      <c r="K33" s="142">
        <f>F33-11423.16</f>
        <v>9162.59</v>
      </c>
      <c r="L33" s="142">
        <f>F33/11423.16*100</f>
        <v>180.21064223910022</v>
      </c>
      <c r="M33" s="111">
        <f>E33-червень!E33</f>
        <v>2000</v>
      </c>
      <c r="N33" s="179">
        <f>F33-червень!F33</f>
        <v>2272.6899999999987</v>
      </c>
      <c r="O33" s="112">
        <f t="shared" si="4"/>
        <v>272.6899999999987</v>
      </c>
      <c r="P33" s="110">
        <f>N33/M33*100</f>
        <v>113.63449999999993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62728.21</v>
      </c>
      <c r="G34" s="109">
        <f t="shared" si="0"/>
        <v>2292.1299999999974</v>
      </c>
      <c r="H34" s="111">
        <f t="shared" si="1"/>
        <v>103.79265167429787</v>
      </c>
      <c r="I34" s="110">
        <f t="shared" si="2"/>
        <v>-19083.79</v>
      </c>
      <c r="J34" s="110">
        <f t="shared" si="3"/>
        <v>76.67360533907006</v>
      </c>
      <c r="K34" s="142">
        <f>F34-34622.85</f>
        <v>28105.36</v>
      </c>
      <c r="L34" s="142">
        <f>F34/34622.85*100</f>
        <v>181.17575531765874</v>
      </c>
      <c r="M34" s="111">
        <f>E34-червень!E34</f>
        <v>8100</v>
      </c>
      <c r="N34" s="179">
        <f>F34-червень!F34</f>
        <v>7838.760000000002</v>
      </c>
      <c r="O34" s="112">
        <f t="shared" si="4"/>
        <v>-261.23999999999796</v>
      </c>
      <c r="P34" s="110">
        <f>N34/M34*100</f>
        <v>96.77481481481483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34587.579999999994</v>
      </c>
      <c r="G37" s="191">
        <f>G38+G39+G40+G41+G42+G44+G46+G47+G48+G49+G50+G55+G56+G60</f>
        <v>9427.69</v>
      </c>
      <c r="H37" s="192">
        <f>F37/E37*100</f>
        <v>137.54688115778117</v>
      </c>
      <c r="I37" s="193">
        <f>F37-D37</f>
        <v>-8232.420000000006</v>
      </c>
      <c r="J37" s="193">
        <f>F37/D37*100</f>
        <v>80.77435777673982</v>
      </c>
      <c r="K37" s="191">
        <f>F37-15873</f>
        <v>18714.579999999994</v>
      </c>
      <c r="L37" s="191">
        <f>F37/15873*100</f>
        <v>217.90197190197188</v>
      </c>
      <c r="M37" s="191">
        <f>M38+M39+M40+M41+M42+M44+M46+M47+M48+M49+M50+M55+M56+M60</f>
        <v>3647.9999999999995</v>
      </c>
      <c r="N37" s="191">
        <f>N38+N39+N40+N41+N42+N44+N46+N47+N48+N49+N50+N55+N56+N60+N43</f>
        <v>5326.93</v>
      </c>
      <c r="O37" s="191">
        <f>O38+O39+O40+O41+O42+O44+O46+O47+O48+O49+O50+O55+O56+O60</f>
        <v>1678.6700000000005</v>
      </c>
      <c r="P37" s="191">
        <f>N37/M37*100</f>
        <v>146.02330043859652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241.19</v>
      </c>
      <c r="G38" s="202">
        <f>F38-E38</f>
        <v>171.19</v>
      </c>
      <c r="H38" s="204">
        <f aca="true" t="shared" si="7" ref="H38:H61">F38/E38*100</f>
        <v>344.5571428571429</v>
      </c>
      <c r="I38" s="205">
        <f>F38-D38</f>
        <v>141.19</v>
      </c>
      <c r="J38" s="205">
        <f>F38/D38*100</f>
        <v>241.19000000000003</v>
      </c>
      <c r="K38" s="205">
        <f>F38-100.4</f>
        <v>140.79</v>
      </c>
      <c r="L38" s="205">
        <f>F38/100.4*100</f>
        <v>240.22908366533864</v>
      </c>
      <c r="M38" s="204">
        <f>E38-червень!E38</f>
        <v>3</v>
      </c>
      <c r="N38" s="208">
        <f>F38-червень!F38</f>
        <v>1.0200000000000102</v>
      </c>
      <c r="O38" s="207">
        <f>N38-M38</f>
        <v>-1.9799999999999898</v>
      </c>
      <c r="P38" s="205">
        <f aca="true" t="shared" si="8" ref="P38:P61">N38/M38*100</f>
        <v>34.00000000000034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69.91</v>
      </c>
      <c r="G42" s="202">
        <f t="shared" si="9"/>
        <v>-0.09000000000000341</v>
      </c>
      <c r="H42" s="204">
        <f t="shared" si="7"/>
        <v>99.87142857142857</v>
      </c>
      <c r="I42" s="205">
        <f t="shared" si="10"/>
        <v>-80.09</v>
      </c>
      <c r="J42" s="205">
        <f t="shared" si="12"/>
        <v>46.60666666666666</v>
      </c>
      <c r="K42" s="205">
        <f>F42-81.62</f>
        <v>-11.710000000000008</v>
      </c>
      <c r="L42" s="205">
        <f>F42/81.62*100</f>
        <v>85.65302621906395</v>
      </c>
      <c r="M42" s="204">
        <f>E42-червень!E42</f>
        <v>10</v>
      </c>
      <c r="N42" s="208">
        <f>F42-червень!F42</f>
        <v>8.939999999999998</v>
      </c>
      <c r="O42" s="207">
        <f t="shared" si="11"/>
        <v>-1.0600000000000023</v>
      </c>
      <c r="P42" s="205">
        <f t="shared" si="8"/>
        <v>89.39999999999998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218.62</v>
      </c>
      <c r="G44" s="202">
        <f t="shared" si="9"/>
        <v>170.62</v>
      </c>
      <c r="H44" s="204">
        <f t="shared" si="7"/>
        <v>455.45833333333337</v>
      </c>
      <c r="I44" s="205">
        <f t="shared" si="10"/>
        <v>128.62</v>
      </c>
      <c r="J44" s="205">
        <f t="shared" si="12"/>
        <v>242.91111111111113</v>
      </c>
      <c r="K44" s="205">
        <f>F44-0</f>
        <v>218.62</v>
      </c>
      <c r="L44" s="205"/>
      <c r="M44" s="204">
        <f>E44-червень!E44</f>
        <v>8</v>
      </c>
      <c r="N44" s="208">
        <f>F44-червень!F44</f>
        <v>50.53999999999999</v>
      </c>
      <c r="O44" s="207">
        <f t="shared" si="11"/>
        <v>42.53999999999999</v>
      </c>
      <c r="P44" s="205">
        <f t="shared" si="8"/>
        <v>631.7499999999999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5617.69</v>
      </c>
      <c r="G46" s="202">
        <f t="shared" si="9"/>
        <v>278.66999999999916</v>
      </c>
      <c r="H46" s="204">
        <f t="shared" si="7"/>
        <v>105.21949721109864</v>
      </c>
      <c r="I46" s="205">
        <f t="shared" si="10"/>
        <v>-4282.31</v>
      </c>
      <c r="J46" s="205">
        <f t="shared" si="12"/>
        <v>56.74434343434343</v>
      </c>
      <c r="K46" s="205">
        <f>F46-4927.6</f>
        <v>690.0899999999992</v>
      </c>
      <c r="L46" s="205">
        <f>F46/4927.6*100</f>
        <v>114.00458641123465</v>
      </c>
      <c r="M46" s="204">
        <f>E46-червень!E46</f>
        <v>800</v>
      </c>
      <c r="N46" s="208">
        <f>F46-червень!F46</f>
        <v>616.6299999999992</v>
      </c>
      <c r="O46" s="207">
        <f t="shared" si="11"/>
        <v>-183.3700000000008</v>
      </c>
      <c r="P46" s="205">
        <f t="shared" si="8"/>
        <v>77.0787499999999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98.22</v>
      </c>
      <c r="G47" s="202">
        <f t="shared" si="9"/>
        <v>-681.78</v>
      </c>
      <c r="H47" s="204">
        <f t="shared" si="7"/>
        <v>12.592307692307692</v>
      </c>
      <c r="I47" s="205">
        <f t="shared" si="10"/>
        <v>-1401.78</v>
      </c>
      <c r="J47" s="205">
        <f t="shared" si="12"/>
        <v>6.548</v>
      </c>
      <c r="K47" s="205">
        <f>F47-0</f>
        <v>98.22</v>
      </c>
      <c r="L47" s="205"/>
      <c r="M47" s="204">
        <f>E47-червень!E47</f>
        <v>130</v>
      </c>
      <c r="N47" s="208">
        <f>F47-червень!F47</f>
        <v>29.299999999999997</v>
      </c>
      <c r="O47" s="207">
        <f t="shared" si="11"/>
        <v>-100.7</v>
      </c>
      <c r="P47" s="205">
        <f t="shared" si="8"/>
        <v>22.538461538461537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3467.83</v>
      </c>
      <c r="G50" s="202">
        <f t="shared" si="9"/>
        <v>-404.3600000000001</v>
      </c>
      <c r="H50" s="204">
        <f t="shared" si="7"/>
        <v>89.55733060619443</v>
      </c>
      <c r="I50" s="205">
        <f t="shared" si="10"/>
        <v>-3832.17</v>
      </c>
      <c r="J50" s="205">
        <f t="shared" si="12"/>
        <v>47.504520547945205</v>
      </c>
      <c r="K50" s="205">
        <f>F50-4033.24</f>
        <v>-565.4099999999999</v>
      </c>
      <c r="L50" s="205">
        <f>F50/4033.24*100</f>
        <v>85.98124584701134</v>
      </c>
      <c r="M50" s="204">
        <f>E50-червень!E50</f>
        <v>653</v>
      </c>
      <c r="N50" s="208">
        <f>F50-червень!F50</f>
        <v>373.1999999999998</v>
      </c>
      <c r="O50" s="207">
        <f t="shared" si="11"/>
        <v>-279.8000000000002</v>
      </c>
      <c r="P50" s="205">
        <f t="shared" si="8"/>
        <v>57.15160796324653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468.18</v>
      </c>
      <c r="G51" s="36">
        <f t="shared" si="9"/>
        <v>-175.81</v>
      </c>
      <c r="H51" s="32">
        <f t="shared" si="7"/>
        <v>72.69988664420255</v>
      </c>
      <c r="I51" s="110">
        <f t="shared" si="10"/>
        <v>-631.8199999999999</v>
      </c>
      <c r="J51" s="110">
        <f t="shared" si="12"/>
        <v>42.56181818181818</v>
      </c>
      <c r="K51" s="110">
        <f>F51-582.74</f>
        <v>-114.56</v>
      </c>
      <c r="L51" s="110">
        <f>F51/582.74*100</f>
        <v>80.34114699522942</v>
      </c>
      <c r="M51" s="111">
        <f>E51-червень!E51</f>
        <v>92</v>
      </c>
      <c r="N51" s="179">
        <f>F51-червень!F51</f>
        <v>47.50999999999999</v>
      </c>
      <c r="O51" s="112">
        <f t="shared" si="11"/>
        <v>-44.49000000000001</v>
      </c>
      <c r="P51" s="132">
        <f t="shared" si="8"/>
        <v>51.64130434782608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0.25</v>
      </c>
      <c r="G52" s="36">
        <f t="shared" si="9"/>
        <v>-5.79</v>
      </c>
      <c r="H52" s="32">
        <f t="shared" si="7"/>
        <v>4.13907284768212</v>
      </c>
      <c r="I52" s="110">
        <f t="shared" si="10"/>
        <v>-44.75</v>
      </c>
      <c r="J52" s="110">
        <f t="shared" si="12"/>
        <v>0.5555555555555556</v>
      </c>
      <c r="K52" s="110">
        <f>F52-45.15</f>
        <v>-44.9</v>
      </c>
      <c r="L52" s="110">
        <f>F52/45.15*100</f>
        <v>0.5537098560354374</v>
      </c>
      <c r="M52" s="111">
        <f>E52-червень!E52</f>
        <v>1</v>
      </c>
      <c r="N52" s="179">
        <f>F52-червень!F52</f>
        <v>0.010000000000000009</v>
      </c>
      <c r="O52" s="112">
        <f t="shared" si="11"/>
        <v>-0.99</v>
      </c>
      <c r="P52" s="132">
        <f t="shared" si="8"/>
        <v>1.0000000000000009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2999.38</v>
      </c>
      <c r="G54" s="36">
        <f t="shared" si="9"/>
        <v>-222.78999999999996</v>
      </c>
      <c r="H54" s="32">
        <f t="shared" si="7"/>
        <v>93.08571552711372</v>
      </c>
      <c r="I54" s="110">
        <f t="shared" si="10"/>
        <v>-3154.62</v>
      </c>
      <c r="J54" s="110">
        <f t="shared" si="12"/>
        <v>48.73870653233669</v>
      </c>
      <c r="K54" s="110">
        <f>F54-3404.6</f>
        <v>-405.2199999999998</v>
      </c>
      <c r="L54" s="110">
        <f>F54/3404.6*100</f>
        <v>88.09786759090643</v>
      </c>
      <c r="M54" s="111">
        <f>E54-червень!E54</f>
        <v>560</v>
      </c>
      <c r="N54" s="179">
        <f>F54-червень!F54</f>
        <v>325.6700000000001</v>
      </c>
      <c r="O54" s="112">
        <f t="shared" si="11"/>
        <v>-234.32999999999993</v>
      </c>
      <c r="P54" s="132">
        <f t="shared" si="8"/>
        <v>58.155357142857156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2973.89</v>
      </c>
      <c r="G56" s="202">
        <f t="shared" si="9"/>
        <v>335.90999999999985</v>
      </c>
      <c r="H56" s="204">
        <f t="shared" si="7"/>
        <v>112.73360677488078</v>
      </c>
      <c r="I56" s="205">
        <f t="shared" si="10"/>
        <v>-1826.1100000000001</v>
      </c>
      <c r="J56" s="205">
        <f t="shared" si="12"/>
        <v>61.956041666666664</v>
      </c>
      <c r="K56" s="205">
        <f>F56-2236.15</f>
        <v>737.7399999999998</v>
      </c>
      <c r="L56" s="205">
        <f>F56/2236.15*100</f>
        <v>132.99152561321915</v>
      </c>
      <c r="M56" s="204">
        <f>E56-червень!E56</f>
        <v>370</v>
      </c>
      <c r="N56" s="208">
        <f>F56-червень!F56</f>
        <v>264.75</v>
      </c>
      <c r="O56" s="207">
        <f t="shared" si="11"/>
        <v>-105.25</v>
      </c>
      <c r="P56" s="205">
        <f t="shared" si="8"/>
        <v>71.55405405405405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684.44</v>
      </c>
      <c r="G58" s="202"/>
      <c r="H58" s="204"/>
      <c r="I58" s="205"/>
      <c r="J58" s="205"/>
      <c r="K58" s="206">
        <f>F58-577.4</f>
        <v>107.04000000000008</v>
      </c>
      <c r="L58" s="206">
        <f>F58/577.4*100</f>
        <v>118.53827502597854</v>
      </c>
      <c r="M58" s="236"/>
      <c r="N58" s="220">
        <f>F58-червень!F58</f>
        <v>92.18000000000006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1.02</v>
      </c>
      <c r="G62" s="202">
        <f t="shared" si="9"/>
        <v>1.02</v>
      </c>
      <c r="H62" s="204"/>
      <c r="I62" s="205">
        <f t="shared" si="10"/>
        <v>0.42000000000000004</v>
      </c>
      <c r="J62" s="205"/>
      <c r="K62" s="205">
        <f>F62-0.02</f>
        <v>1</v>
      </c>
      <c r="L62" s="205"/>
      <c r="M62" s="204">
        <f>E62-травень!E62</f>
        <v>0</v>
      </c>
      <c r="N62" s="208">
        <f>F62-червень!F62</f>
        <v>0.62</v>
      </c>
      <c r="O62" s="207">
        <f t="shared" si="11"/>
        <v>0.62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527820.34</v>
      </c>
      <c r="G63" s="191">
        <f>F63-E63</f>
        <v>3123.5299999999115</v>
      </c>
      <c r="H63" s="192">
        <f>F63/E63*100</f>
        <v>100.5953018849114</v>
      </c>
      <c r="I63" s="193">
        <f>F63-D63</f>
        <v>-356080.26</v>
      </c>
      <c r="J63" s="193">
        <f>F63/D63*100</f>
        <v>59.7148978063823</v>
      </c>
      <c r="K63" s="193">
        <f>F63-320998.67</f>
        <v>206821.66999999998</v>
      </c>
      <c r="L63" s="193">
        <f>F63/320998.67*100</f>
        <v>164.43069374711118</v>
      </c>
      <c r="M63" s="191">
        <f>M8+M37+M61+M62</f>
        <v>82950.80000000003</v>
      </c>
      <c r="N63" s="191">
        <f>N8+N37+N61+N62</f>
        <v>33034.33999999996</v>
      </c>
      <c r="O63" s="195">
        <f>N63-M63</f>
        <v>-49916.46000000007</v>
      </c>
      <c r="P63" s="193">
        <f>N63/M63*100</f>
        <v>39.824016163798234</v>
      </c>
      <c r="Q63" s="28">
        <f>N63-34768</f>
        <v>-1733.6600000000399</v>
      </c>
      <c r="R63" s="128">
        <f>N63/34768</f>
        <v>0.9501363322595479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1042.09</v>
      </c>
      <c r="G72" s="202">
        <f aca="true" t="shared" si="13" ref="G72:G82">F72-E72</f>
        <v>-757.9100000000001</v>
      </c>
      <c r="H72" s="204"/>
      <c r="I72" s="207">
        <f aca="true" t="shared" si="14" ref="I72:I82">F72-D72</f>
        <v>-3157.91</v>
      </c>
      <c r="J72" s="207">
        <f>F72/D72*100</f>
        <v>24.811666666666664</v>
      </c>
      <c r="K72" s="207">
        <f>F72-194</f>
        <v>848.0899999999999</v>
      </c>
      <c r="L72" s="207">
        <f>F72/194*100</f>
        <v>537.159793814433</v>
      </c>
      <c r="M72" s="204">
        <f>E72-червень!E72</f>
        <v>387</v>
      </c>
      <c r="N72" s="208">
        <f>F72-червень!F72</f>
        <v>0.06999999999993634</v>
      </c>
      <c r="O72" s="207">
        <f aca="true" t="shared" si="15" ref="O72:O85">N72-M72</f>
        <v>-386.93000000000006</v>
      </c>
      <c r="P72" s="207">
        <f>N72/M72*100</f>
        <v>0.018087855297141173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1380</v>
      </c>
      <c r="G73" s="202">
        <f t="shared" si="13"/>
        <v>-1947.31</v>
      </c>
      <c r="H73" s="204">
        <f>F73/E73*100</f>
        <v>41.47494522602342</v>
      </c>
      <c r="I73" s="207">
        <f t="shared" si="14"/>
        <v>-6079</v>
      </c>
      <c r="J73" s="207">
        <f>F73/D73*100</f>
        <v>18.501139562944093</v>
      </c>
      <c r="K73" s="207">
        <f>F73-3257.07</f>
        <v>-1877.0700000000002</v>
      </c>
      <c r="L73" s="207">
        <f>F73/3257.07*100</f>
        <v>42.369368788512375</v>
      </c>
      <c r="M73" s="204">
        <f>E73-червень!E73</f>
        <v>1093.6</v>
      </c>
      <c r="N73" s="208">
        <f>F73-червень!F73</f>
        <v>443.96000000000004</v>
      </c>
      <c r="O73" s="207">
        <f t="shared" si="15"/>
        <v>-649.6399999999999</v>
      </c>
      <c r="P73" s="207">
        <f>N73/M73*100</f>
        <v>40.59619604974397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9388.6</v>
      </c>
      <c r="G74" s="202">
        <f t="shared" si="13"/>
        <v>7293.75</v>
      </c>
      <c r="H74" s="204">
        <f>F74/E74*100</f>
        <v>448.17528701339</v>
      </c>
      <c r="I74" s="207">
        <f t="shared" si="14"/>
        <v>3388.6000000000004</v>
      </c>
      <c r="J74" s="207">
        <f>F74/D74*100</f>
        <v>156.47666666666666</v>
      </c>
      <c r="K74" s="207">
        <f>F74-1818.42</f>
        <v>7570.18</v>
      </c>
      <c r="L74" s="207">
        <f>F74/1818.42*100</f>
        <v>516.3053639973164</v>
      </c>
      <c r="M74" s="204">
        <f>E74-червень!E74</f>
        <v>302</v>
      </c>
      <c r="N74" s="208">
        <f>F74-червень!F74</f>
        <v>14.090000000000146</v>
      </c>
      <c r="O74" s="207">
        <f t="shared" si="15"/>
        <v>-287.90999999999985</v>
      </c>
      <c r="P74" s="207">
        <f>N74/M74*100</f>
        <v>4.6655629139073325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11816.69</v>
      </c>
      <c r="G76" s="226">
        <f t="shared" si="13"/>
        <v>4587.530000000001</v>
      </c>
      <c r="H76" s="227">
        <f>F76/E76*100</f>
        <v>163.4586867630541</v>
      </c>
      <c r="I76" s="228">
        <f t="shared" si="14"/>
        <v>-5854.3099999999995</v>
      </c>
      <c r="J76" s="228">
        <f>F76/D76*100</f>
        <v>66.87052232471281</v>
      </c>
      <c r="K76" s="228">
        <f>F76-5269.49</f>
        <v>6547.200000000001</v>
      </c>
      <c r="L76" s="228">
        <f>F76/5269.49*100</f>
        <v>224.2473180516521</v>
      </c>
      <c r="M76" s="226">
        <f>M72+M73+M74+M75</f>
        <v>1783.6</v>
      </c>
      <c r="N76" s="230">
        <f>N72+N73+N74+N75</f>
        <v>458.1200000000001</v>
      </c>
      <c r="O76" s="228">
        <f t="shared" si="15"/>
        <v>-1325.4799999999998</v>
      </c>
      <c r="P76" s="228">
        <f>N76/M76*100</f>
        <v>25.685131195335288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5.21</v>
      </c>
      <c r="G77" s="202">
        <f t="shared" si="13"/>
        <v>5.21</v>
      </c>
      <c r="H77" s="204"/>
      <c r="I77" s="207">
        <f t="shared" si="14"/>
        <v>4.21</v>
      </c>
      <c r="J77" s="207"/>
      <c r="K77" s="207">
        <f>F77-0</f>
        <v>5.21</v>
      </c>
      <c r="L77" s="207"/>
      <c r="M77" s="204">
        <f>E77-червень!E77</f>
        <v>0</v>
      </c>
      <c r="N77" s="208">
        <f>F77-червень!F77</f>
        <v>0.019999999999999574</v>
      </c>
      <c r="O77" s="207">
        <f t="shared" si="15"/>
        <v>0.019999999999999574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4894.25</v>
      </c>
      <c r="G79" s="202">
        <f t="shared" si="13"/>
        <v>-233.05000000000018</v>
      </c>
      <c r="H79" s="204">
        <f>F79/E79*100</f>
        <v>95.45472275856687</v>
      </c>
      <c r="I79" s="207">
        <f t="shared" si="14"/>
        <v>-4605.75</v>
      </c>
      <c r="J79" s="207">
        <f>F79/D79*100</f>
        <v>51.51842105263158</v>
      </c>
      <c r="K79" s="207">
        <f>F79-0</f>
        <v>4894.25</v>
      </c>
      <c r="L79" s="207"/>
      <c r="M79" s="204">
        <f>E79-червень!E79</f>
        <v>10</v>
      </c>
      <c r="N79" s="208">
        <f>F79-червень!F79</f>
        <v>3.8100000000004</v>
      </c>
      <c r="O79" s="207">
        <f>N79-M79</f>
        <v>-6.1899999999996</v>
      </c>
      <c r="P79" s="231">
        <f>N79/M79*100</f>
        <v>38.100000000004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4900.27</v>
      </c>
      <c r="G81" s="224">
        <f>G77+G80+G78+G79</f>
        <v>-227.03000000000017</v>
      </c>
      <c r="H81" s="227">
        <f>F81/E81*100</f>
        <v>95.57213348155949</v>
      </c>
      <c r="I81" s="228">
        <f t="shared" si="14"/>
        <v>-4600.73</v>
      </c>
      <c r="J81" s="228">
        <f>F81/D81*100</f>
        <v>51.57636038311757</v>
      </c>
      <c r="K81" s="228">
        <f>F81-1.06</f>
        <v>4899.21</v>
      </c>
      <c r="L81" s="228">
        <f>F81/1.06*100</f>
        <v>462289.6226415094</v>
      </c>
      <c r="M81" s="226">
        <f>M77+M80+M78+M79</f>
        <v>10</v>
      </c>
      <c r="N81" s="230">
        <f>N77+N80+N78+N79</f>
        <v>3.8300000000003998</v>
      </c>
      <c r="O81" s="226">
        <f>O77+O80+O78+O79</f>
        <v>-6.1699999999996</v>
      </c>
      <c r="P81" s="228">
        <f>N81/M81*100</f>
        <v>38.300000000004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18.45</v>
      </c>
      <c r="G82" s="202">
        <f t="shared" si="13"/>
        <v>-1.8500000000000014</v>
      </c>
      <c r="H82" s="204">
        <f>F82/E82*100</f>
        <v>90.88669950738915</v>
      </c>
      <c r="I82" s="207">
        <f t="shared" si="14"/>
        <v>-24.55</v>
      </c>
      <c r="J82" s="207">
        <f>F82/D82*100</f>
        <v>42.90697674418604</v>
      </c>
      <c r="K82" s="207">
        <f>F82-19.94</f>
        <v>-1.490000000000002</v>
      </c>
      <c r="L82" s="207">
        <f>F82/19.94*100</f>
        <v>92.52758274824473</v>
      </c>
      <c r="M82" s="204">
        <f>E82-червень!E82</f>
        <v>0.6000000000000014</v>
      </c>
      <c r="N82" s="208">
        <f>F82-червень!F82</f>
        <v>0.1999999999999993</v>
      </c>
      <c r="O82" s="207">
        <f t="shared" si="15"/>
        <v>-0.40000000000000213</v>
      </c>
      <c r="P82" s="207">
        <f>N82/M82</f>
        <v>0.33333333333333137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16733.120000000003</v>
      </c>
      <c r="G84" s="233">
        <f>F84-E84</f>
        <v>4356.360000000002</v>
      </c>
      <c r="H84" s="234">
        <f>F84/E84*100</f>
        <v>135.19790316690313</v>
      </c>
      <c r="I84" s="235">
        <f>F84-D84</f>
        <v>-10481.879999999997</v>
      </c>
      <c r="J84" s="235">
        <f>F84/D84*100</f>
        <v>61.484916406393545</v>
      </c>
      <c r="K84" s="235">
        <f>F84-5259.67</f>
        <v>11473.450000000003</v>
      </c>
      <c r="L84" s="235">
        <f>F84/5259.67*100</f>
        <v>318.1401114518592</v>
      </c>
      <c r="M84" s="232">
        <f>M70+M82+M76+M81</f>
        <v>1794.1999999999998</v>
      </c>
      <c r="N84" s="232">
        <f>N70+N82+N76+N81+N83</f>
        <v>462.1500000000005</v>
      </c>
      <c r="O84" s="235">
        <f t="shared" si="15"/>
        <v>-1332.0499999999993</v>
      </c>
      <c r="P84" s="235">
        <f>N84/M84*100</f>
        <v>25.757997993534754</v>
      </c>
      <c r="Q84" s="28">
        <f>N84-8104.96</f>
        <v>-7642.8099999999995</v>
      </c>
      <c r="R84" s="101">
        <f>N84/8104.96</f>
        <v>0.057020639213518694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544553.46</v>
      </c>
      <c r="G85" s="233">
        <f>F85-E85</f>
        <v>7479.889999999898</v>
      </c>
      <c r="H85" s="234">
        <f>F85/E85*100</f>
        <v>101.39271236154852</v>
      </c>
      <c r="I85" s="235">
        <f>F85-D85</f>
        <v>-366562.14</v>
      </c>
      <c r="J85" s="235">
        <f>F85/D85*100</f>
        <v>59.76776821733707</v>
      </c>
      <c r="K85" s="235">
        <f>F85-320998.67-5259.67</f>
        <v>218295.11999999997</v>
      </c>
      <c r="L85" s="235">
        <f>F85/(265734.15+4325.48)*100</f>
        <v>201.64193367220417</v>
      </c>
      <c r="M85" s="233">
        <f>M63+M84</f>
        <v>84745.00000000003</v>
      </c>
      <c r="N85" s="233">
        <f>N63+N84</f>
        <v>33496.48999999996</v>
      </c>
      <c r="O85" s="235">
        <f t="shared" si="15"/>
        <v>-51248.51000000007</v>
      </c>
      <c r="P85" s="235">
        <f>N85/M85*100</f>
        <v>39.52621393592536</v>
      </c>
      <c r="Q85" s="28">
        <f>N85-42872.96</f>
        <v>-9376.470000000038</v>
      </c>
      <c r="R85" s="101">
        <f>N85/42872.96</f>
        <v>0.7812964162026592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8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6239.557500000009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42570</v>
      </c>
      <c r="D89" s="31">
        <v>3834.1</v>
      </c>
      <c r="G89" s="4" t="s">
        <v>59</v>
      </c>
      <c r="N89" s="263"/>
      <c r="O89" s="263"/>
    </row>
    <row r="90" spans="3:15" ht="15">
      <c r="C90" s="87">
        <v>42569</v>
      </c>
      <c r="D90" s="31">
        <v>3029.3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42566</v>
      </c>
      <c r="D91" s="31">
        <v>6453.5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1776.91109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 hidden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325.38000000000005</v>
      </c>
      <c r="G96" s="73">
        <f>G44+G47+G48</f>
        <v>-526.62</v>
      </c>
      <c r="H96" s="74"/>
      <c r="I96" s="74"/>
      <c r="M96" s="31">
        <f>M44+M47+M48</f>
        <v>142</v>
      </c>
      <c r="N96" s="246">
        <f>N44+N47+N48</f>
        <v>79.83999999999999</v>
      </c>
      <c r="O96" s="31">
        <f>O44+O47+O48</f>
        <v>-62.16000000000001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7" sqref="O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172</v>
      </c>
      <c r="N3" s="288" t="s">
        <v>173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170</v>
      </c>
      <c r="F4" s="291" t="s">
        <v>34</v>
      </c>
      <c r="G4" s="265" t="s">
        <v>171</v>
      </c>
      <c r="H4" s="273" t="s">
        <v>175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178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92"/>
      <c r="G5" s="266"/>
      <c r="H5" s="274"/>
      <c r="I5" s="266"/>
      <c r="J5" s="274"/>
      <c r="K5" s="268" t="s">
        <v>174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63"/>
      <c r="O89" s="263"/>
    </row>
    <row r="90" spans="3:15" ht="15">
      <c r="C90" s="87">
        <v>42550</v>
      </c>
      <c r="D90" s="31">
        <v>11029.3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42545</v>
      </c>
      <c r="D91" s="31">
        <v>6499.7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9447.89588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162</v>
      </c>
      <c r="N3" s="288" t="s">
        <v>163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158</v>
      </c>
      <c r="F4" s="293" t="s">
        <v>34</v>
      </c>
      <c r="G4" s="265" t="s">
        <v>159</v>
      </c>
      <c r="H4" s="273" t="s">
        <v>160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169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161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63"/>
      <c r="O89" s="263"/>
    </row>
    <row r="90" spans="3:15" ht="15">
      <c r="C90" s="87">
        <v>42520</v>
      </c>
      <c r="D90" s="31">
        <v>8891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42517</v>
      </c>
      <c r="D91" s="31">
        <v>7356.3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2811.04042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153</v>
      </c>
      <c r="N3" s="288" t="s">
        <v>154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150</v>
      </c>
      <c r="F4" s="293" t="s">
        <v>34</v>
      </c>
      <c r="G4" s="265" t="s">
        <v>151</v>
      </c>
      <c r="H4" s="273" t="s">
        <v>152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157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155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0"/>
      <c r="H84" s="270"/>
      <c r="I84" s="270"/>
      <c r="J84" s="27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57"/>
      <c r="H86" s="257"/>
      <c r="I86" s="131"/>
      <c r="J86" s="260"/>
      <c r="K86" s="260"/>
      <c r="L86" s="260"/>
      <c r="M86" s="260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57"/>
      <c r="H87" s="257"/>
      <c r="I87" s="131"/>
      <c r="J87" s="264"/>
      <c r="K87" s="264"/>
      <c r="L87" s="264"/>
      <c r="M87" s="264"/>
      <c r="N87" s="263"/>
      <c r="O87" s="263"/>
    </row>
    <row r="88" spans="3:13" ht="15.75" customHeight="1">
      <c r="C88" s="87"/>
      <c r="F88" s="73"/>
      <c r="G88" s="259"/>
      <c r="H88" s="259"/>
      <c r="I88" s="139"/>
      <c r="J88" s="260"/>
      <c r="K88" s="260"/>
      <c r="L88" s="260"/>
      <c r="M88" s="260"/>
    </row>
    <row r="89" spans="2:13" ht="18.75" customHeight="1">
      <c r="B89" s="261" t="s">
        <v>57</v>
      </c>
      <c r="C89" s="262"/>
      <c r="D89" s="148">
        <v>9087.9705</v>
      </c>
      <c r="E89" s="74"/>
      <c r="F89" s="140" t="s">
        <v>137</v>
      </c>
      <c r="G89" s="257"/>
      <c r="H89" s="257"/>
      <c r="I89" s="141"/>
      <c r="J89" s="260"/>
      <c r="K89" s="260"/>
      <c r="L89" s="260"/>
      <c r="M89" s="260"/>
    </row>
    <row r="90" spans="6:12" ht="9.75" customHeight="1">
      <c r="F90" s="73"/>
      <c r="G90" s="257"/>
      <c r="H90" s="257"/>
      <c r="I90" s="73"/>
      <c r="J90" s="74"/>
      <c r="K90" s="74"/>
      <c r="L90" s="74"/>
    </row>
    <row r="91" spans="2:12" ht="22.5" customHeight="1" hidden="1">
      <c r="B91" s="255" t="s">
        <v>60</v>
      </c>
      <c r="C91" s="256"/>
      <c r="D91" s="86">
        <v>0</v>
      </c>
      <c r="E91" s="56" t="s">
        <v>24</v>
      </c>
      <c r="F91" s="73"/>
      <c r="G91" s="257"/>
      <c r="H91" s="25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7"/>
      <c r="O92" s="257"/>
    </row>
    <row r="93" spans="4:15" ht="15">
      <c r="D93" s="83"/>
      <c r="I93" s="31"/>
      <c r="N93" s="258"/>
      <c r="O93" s="258"/>
    </row>
    <row r="94" spans="14:15" ht="15">
      <c r="N94" s="257"/>
      <c r="O94" s="25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147</v>
      </c>
      <c r="N3" s="288" t="s">
        <v>143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146</v>
      </c>
      <c r="F4" s="293" t="s">
        <v>34</v>
      </c>
      <c r="G4" s="265" t="s">
        <v>141</v>
      </c>
      <c r="H4" s="273" t="s">
        <v>142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144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f>4343.7</f>
        <v>4343.7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128</v>
      </c>
      <c r="N3" s="288" t="s">
        <v>119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127</v>
      </c>
      <c r="F4" s="293" t="s">
        <v>34</v>
      </c>
      <c r="G4" s="265" t="s">
        <v>116</v>
      </c>
      <c r="H4" s="273" t="s">
        <v>117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140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118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505.3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135</v>
      </c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132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129</v>
      </c>
      <c r="F4" s="293" t="s">
        <v>34</v>
      </c>
      <c r="G4" s="265" t="s">
        <v>130</v>
      </c>
      <c r="H4" s="273" t="s">
        <v>131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97" t="s">
        <v>133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134</v>
      </c>
      <c r="L5" s="269"/>
      <c r="M5" s="274"/>
      <c r="N5" s="298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300.92</v>
      </c>
      <c r="E88" s="74"/>
      <c r="F88" s="140"/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136</v>
      </c>
      <c r="C3" s="282" t="s">
        <v>0</v>
      </c>
      <c r="D3" s="283" t="s">
        <v>115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107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104</v>
      </c>
      <c r="F4" s="299" t="s">
        <v>34</v>
      </c>
      <c r="G4" s="265" t="s">
        <v>109</v>
      </c>
      <c r="H4" s="273" t="s">
        <v>110</v>
      </c>
      <c r="I4" s="265" t="s">
        <v>105</v>
      </c>
      <c r="J4" s="273" t="s">
        <v>106</v>
      </c>
      <c r="K4" s="91" t="s">
        <v>65</v>
      </c>
      <c r="L4" s="96" t="s">
        <v>64</v>
      </c>
      <c r="M4" s="273"/>
      <c r="N4" s="297" t="s">
        <v>103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6.5" customHeight="1">
      <c r="A5" s="280"/>
      <c r="B5" s="281"/>
      <c r="C5" s="282"/>
      <c r="D5" s="283"/>
      <c r="E5" s="290"/>
      <c r="F5" s="300"/>
      <c r="G5" s="266"/>
      <c r="H5" s="274"/>
      <c r="I5" s="266"/>
      <c r="J5" s="274"/>
      <c r="K5" s="268" t="s">
        <v>108</v>
      </c>
      <c r="L5" s="269"/>
      <c r="M5" s="274"/>
      <c r="N5" s="298"/>
      <c r="O5" s="266"/>
      <c r="P5" s="267"/>
      <c r="Q5" s="268" t="s">
        <v>126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0"/>
      <c r="H82" s="270"/>
      <c r="I82" s="270"/>
      <c r="J82" s="27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57"/>
      <c r="H84" s="257"/>
      <c r="I84" s="131"/>
      <c r="J84" s="260"/>
      <c r="K84" s="260"/>
      <c r="L84" s="260"/>
      <c r="M84" s="260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57"/>
      <c r="H85" s="257"/>
      <c r="I85" s="131"/>
      <c r="J85" s="264"/>
      <c r="K85" s="264"/>
      <c r="L85" s="264"/>
      <c r="M85" s="264"/>
      <c r="N85" s="263"/>
      <c r="O85" s="263"/>
    </row>
    <row r="86" spans="3:13" ht="15.75" customHeight="1">
      <c r="C86" s="87"/>
      <c r="F86" s="167"/>
      <c r="G86" s="259"/>
      <c r="H86" s="259"/>
      <c r="I86" s="139"/>
      <c r="J86" s="260"/>
      <c r="K86" s="260"/>
      <c r="L86" s="260"/>
      <c r="M86" s="260"/>
    </row>
    <row r="87" spans="2:13" ht="18.75" customHeight="1">
      <c r="B87" s="261" t="s">
        <v>57</v>
      </c>
      <c r="C87" s="262"/>
      <c r="D87" s="148">
        <v>300.92</v>
      </c>
      <c r="E87" s="74"/>
      <c r="F87" s="168"/>
      <c r="G87" s="257"/>
      <c r="H87" s="257"/>
      <c r="I87" s="141"/>
      <c r="J87" s="260"/>
      <c r="K87" s="260"/>
      <c r="L87" s="260"/>
      <c r="M87" s="260"/>
    </row>
    <row r="88" spans="6:12" ht="9.75" customHeight="1">
      <c r="F88" s="167"/>
      <c r="G88" s="257"/>
      <c r="H88" s="257"/>
      <c r="I88" s="73"/>
      <c r="J88" s="74"/>
      <c r="K88" s="74"/>
      <c r="L88" s="74"/>
    </row>
    <row r="89" spans="2:12" ht="22.5" customHeight="1" hidden="1">
      <c r="B89" s="255" t="s">
        <v>60</v>
      </c>
      <c r="C89" s="256"/>
      <c r="D89" s="86">
        <v>0</v>
      </c>
      <c r="E89" s="56" t="s">
        <v>24</v>
      </c>
      <c r="F89" s="167"/>
      <c r="G89" s="257"/>
      <c r="H89" s="25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7"/>
      <c r="O90" s="257"/>
    </row>
    <row r="91" spans="4:15" ht="15">
      <c r="D91" s="83"/>
      <c r="I91" s="31"/>
      <c r="N91" s="258"/>
      <c r="O91" s="258"/>
    </row>
    <row r="92" spans="14:15" ht="15">
      <c r="N92" s="257"/>
      <c r="O92" s="25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2016-07-20T09:22:04Z</cp:lastPrinted>
  <dcterms:created xsi:type="dcterms:W3CDTF">2003-07-28T11:27:56Z</dcterms:created>
  <dcterms:modified xsi:type="dcterms:W3CDTF">2016-07-20T09:40:46Z</dcterms:modified>
  <cp:category/>
  <cp:version/>
  <cp:contentType/>
  <cp:contentStatus/>
</cp:coreProperties>
</file>